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530" windowHeight="4785" activeTab="0"/>
  </bookViews>
  <sheets>
    <sheet name="Potenziale di mercato Germania" sheetId="1" r:id="rId1"/>
    <sheet name="BEP Giandujotti Germania" sheetId="2" r:id="rId2"/>
    <sheet name="Prezzo minimo Gianlimò" sheetId="3" r:id="rId3"/>
  </sheets>
  <definedNames>
    <definedName name="_xlnm.Print_Area" localSheetId="1">'BEP Giandujotti Germania'!$A$1:$G$143</definedName>
    <definedName name="_xlnm.Print_Area" localSheetId="0">'Potenziale di mercato Germania'!$A$1:$G$61</definedName>
    <definedName name="_xlnm.Print_Area" localSheetId="2">'Prezzo minimo Gianlimò'!$A$1:$G$78</definedName>
  </definedNames>
  <calcPr fullCalcOnLoad="1"/>
</workbook>
</file>

<file path=xl/comments2.xml><?xml version="1.0" encoding="utf-8"?>
<comments xmlns="http://schemas.openxmlformats.org/spreadsheetml/2006/main">
  <authors>
    <author>.</author>
  </authors>
  <commentList>
    <comment ref="B11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Tengo conto del fatto che 7,49 è prezzo di mercato mentre loro lo producono e costerà di meno</t>
        </r>
      </text>
    </comment>
    <comment ref="B12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Considero grandi sconti per grandi quantità
</t>
        </r>
      </text>
    </comment>
    <comment ref="B13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Anche qui ho abbattuto i prezzi di mercato di 1 euro</t>
        </r>
      </text>
    </comment>
    <comment ref="A34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Le percentuali si riferiscono alla ripartizione dei costi omni su una base multipla: ad es. assicurazioni su ore lavoro impianti, impiegati su ore di lavoro e ipotesi di quanto sono dedicate a prodotto aggiuntivo etc.</t>
        </r>
      </text>
    </comment>
    <comment ref="A23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Fare riferimento a vntaggi e svantaggi ampliamento assortimento prodotti</t>
        </r>
      </text>
    </comment>
  </commentList>
</comments>
</file>

<file path=xl/comments3.xml><?xml version="1.0" encoding="utf-8"?>
<comments xmlns="http://schemas.openxmlformats.org/spreadsheetml/2006/main">
  <authors>
    <author>.</author>
  </authors>
  <commentList>
    <comment ref="B8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Tengo conto del fatto che 7,49 è prezzo di mercato mentre loro lo producono e costerà di meno</t>
        </r>
      </text>
    </comment>
    <comment ref="B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Considero grandi sconti per grandi quantità
</t>
        </r>
      </text>
    </comment>
    <comment ref="B10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Anche qui ho abbattuto i prezzi di mercato di 1 euro</t>
        </r>
      </text>
    </comment>
  </commentList>
</comments>
</file>

<file path=xl/sharedStrings.xml><?xml version="1.0" encoding="utf-8"?>
<sst xmlns="http://schemas.openxmlformats.org/spreadsheetml/2006/main" count="187" uniqueCount="147">
  <si>
    <t>Brek even point giandujotti espansione Germania</t>
  </si>
  <si>
    <t>Prezzo al consumo</t>
  </si>
  <si>
    <t>€/500gr</t>
  </si>
  <si>
    <t>peso unitario gr.</t>
  </si>
  <si>
    <t>€/1 gr.</t>
  </si>
  <si>
    <t>prezzo unitario</t>
  </si>
  <si>
    <t>Quota di mercato Germania</t>
  </si>
  <si>
    <t>Zaffarel</t>
  </si>
  <si>
    <t>Perniciotti</t>
  </si>
  <si>
    <t>Foeller-Mathaus</t>
  </si>
  <si>
    <t>Schnelli</t>
  </si>
  <si>
    <t>Kg venduti</t>
  </si>
  <si>
    <t xml:space="preserve">Quota </t>
  </si>
  <si>
    <t>Kg. Totali</t>
  </si>
  <si>
    <t xml:space="preserve">Costi variabili </t>
  </si>
  <si>
    <t>Produzione</t>
  </si>
  <si>
    <t>Cacao massa amara 100%</t>
  </si>
  <si>
    <t>€/giandujotto</t>
  </si>
  <si>
    <t>Carta per involucro</t>
  </si>
  <si>
    <t xml:space="preserve">Vaniglia a bacche </t>
  </si>
  <si>
    <t>Caramello</t>
  </si>
  <si>
    <t xml:space="preserve">Zucchero </t>
  </si>
  <si>
    <t>Nocciole tostate piemontesi</t>
  </si>
  <si>
    <t>gr./giandujotto</t>
  </si>
  <si>
    <t>Latte</t>
  </si>
  <si>
    <t>€/kg o lt.</t>
  </si>
  <si>
    <t>Costi fissi</t>
  </si>
  <si>
    <t>Nuova campagna pubblicitaria localizzata</t>
  </si>
  <si>
    <t>Nuova rete di vendita</t>
  </si>
  <si>
    <t>Agenti</t>
  </si>
  <si>
    <t>€/anno</t>
  </si>
  <si>
    <t>Distributori locali</t>
  </si>
  <si>
    <t>Partecipazione a fiere e promozioni in loco</t>
  </si>
  <si>
    <t>Trasporti</t>
  </si>
  <si>
    <t>Maggiore sfruttamento impianti (aumento del 5%)</t>
  </si>
  <si>
    <t>Costo del lavoro</t>
  </si>
  <si>
    <t>Totale annuo</t>
  </si>
  <si>
    <t>TOTALE</t>
  </si>
  <si>
    <t>Totali</t>
  </si>
  <si>
    <t>Margine di contribuzione</t>
  </si>
  <si>
    <t>Kg da vendere</t>
  </si>
  <si>
    <t>BEP in numero di giandujotti</t>
  </si>
  <si>
    <t>grammi di giandujotti</t>
  </si>
  <si>
    <t>Quota da raggiungere</t>
  </si>
  <si>
    <t xml:space="preserve">Costi fissi comuni </t>
  </si>
  <si>
    <t>Assicurazioni (3% totale)</t>
  </si>
  <si>
    <t>Costi amministrativi (8% totale)</t>
  </si>
  <si>
    <t>Spese generali (3% totale)</t>
  </si>
  <si>
    <t>Fatturato</t>
  </si>
  <si>
    <t>Confezioni da 25</t>
  </si>
  <si>
    <t>Fatturato di pareggio</t>
  </si>
  <si>
    <t>Costi fissi specifici per primo anno</t>
  </si>
  <si>
    <t>Quantità in Kg</t>
  </si>
  <si>
    <t>Prezzo al kg</t>
  </si>
  <si>
    <t>Costi fissi su margine di contribuzione</t>
  </si>
  <si>
    <t>Costi variabili</t>
  </si>
  <si>
    <t>Costi totali</t>
  </si>
  <si>
    <t>Costo al kg.</t>
  </si>
  <si>
    <t>Margine di contribuzione a Kg</t>
  </si>
  <si>
    <t>Margine contribuzione al kg</t>
  </si>
  <si>
    <t>Ricavi</t>
  </si>
  <si>
    <t xml:space="preserve">Determinazione prezzo Gianlimò </t>
  </si>
  <si>
    <t xml:space="preserve">peso unitario </t>
  </si>
  <si>
    <t>Limoncello</t>
  </si>
  <si>
    <t>Nuova campagna pubblicitaria</t>
  </si>
  <si>
    <t>Ideazione campagna</t>
  </si>
  <si>
    <t>Nuovi investimenti</t>
  </si>
  <si>
    <t>Impianto siringatore limoncello</t>
  </si>
  <si>
    <t>ammortamento</t>
  </si>
  <si>
    <t>Costo</t>
  </si>
  <si>
    <t>Adattamento linea esistente per svuotamento Giandujotto</t>
  </si>
  <si>
    <t>gr. o ml./giandujotto</t>
  </si>
  <si>
    <t>assunzione 1 operaio specializzato</t>
  </si>
  <si>
    <t>Commercializzazione</t>
  </si>
  <si>
    <t>Distributori</t>
  </si>
  <si>
    <t>operai (2% totale)</t>
  </si>
  <si>
    <t>impiegati (3% totale)</t>
  </si>
  <si>
    <t>Manutenzione ordinaria impianti (3%)</t>
  </si>
  <si>
    <t>Costo variabile</t>
  </si>
  <si>
    <t>Vendite attese in numero giadujotti</t>
  </si>
  <si>
    <t>Prezzo minimo per giandujotto</t>
  </si>
  <si>
    <t>Ipotizzando confezioni da 25 prezzo confezione</t>
  </si>
  <si>
    <t>prezzo al grammo</t>
  </si>
  <si>
    <t>prezzo al kg</t>
  </si>
  <si>
    <t>Nocciole tostate piemontesi IGT</t>
  </si>
  <si>
    <t>€/g o €/ml.</t>
  </si>
  <si>
    <t>Provvigioni vendita 5% prezzo al consumo</t>
  </si>
  <si>
    <t>Agenti minimo garantito</t>
  </si>
  <si>
    <t xml:space="preserve">Manutenzione specifica nuovi impianti </t>
  </si>
  <si>
    <t>Assicurazioni (3% sul totale attuale)</t>
  </si>
  <si>
    <t>Costi amministrativi (8% sul totale attuale)</t>
  </si>
  <si>
    <t>Spese generali (3% sul totale attuale)</t>
  </si>
  <si>
    <t>operai (5% sul totale attuale)</t>
  </si>
  <si>
    <t>impiegati (5% sul totale attuale)</t>
  </si>
  <si>
    <t>BEP in confezioni</t>
  </si>
  <si>
    <t>Vendite mensili confezioni bep (9 mesi)</t>
  </si>
  <si>
    <t>Costi fissi (specifici+ quota comuni)</t>
  </si>
  <si>
    <t>Costi fissi (specifici)</t>
  </si>
  <si>
    <t>Creazione e deposito nuovo marchio</t>
  </si>
  <si>
    <t xml:space="preserve">Consumi mercato tedesco </t>
  </si>
  <si>
    <t>Anno</t>
  </si>
  <si>
    <t>Kg a persona/anno</t>
  </si>
  <si>
    <t>1982</t>
  </si>
  <si>
    <t>1992</t>
  </si>
  <si>
    <t>2002</t>
  </si>
  <si>
    <t>Formula capitalizzazione</t>
  </si>
  <si>
    <t>Tasso di crescita media del mercato periodo 1982-1992</t>
  </si>
  <si>
    <t>Tasso di crescita media del mercato periodo 1992-2002</t>
  </si>
  <si>
    <t>Stima per anno 2005</t>
  </si>
  <si>
    <t>Anno 2003</t>
  </si>
  <si>
    <t>Anno 2004</t>
  </si>
  <si>
    <t>Anno 2005</t>
  </si>
  <si>
    <t>Segmentazione mercato con esclusione fasce non target</t>
  </si>
  <si>
    <t>Età</t>
  </si>
  <si>
    <t>Donne (% su totale)</t>
  </si>
  <si>
    <t>Uomini (% su totale)</t>
  </si>
  <si>
    <t>0-20</t>
  </si>
  <si>
    <t>21-40</t>
  </si>
  <si>
    <t>41-60</t>
  </si>
  <si>
    <t>61-80</t>
  </si>
  <si>
    <t>81-100</t>
  </si>
  <si>
    <t xml:space="preserve">Totale </t>
  </si>
  <si>
    <t>Popolazione tedesca totale</t>
  </si>
  <si>
    <t>Percentuale totale fascia</t>
  </si>
  <si>
    <t>Numero di abitanti per fascia</t>
  </si>
  <si>
    <t>Popolazione interessante ai fini del calcolo del potenziale di mercato</t>
  </si>
  <si>
    <t>Potenziale di mercato tedesco anno 2005</t>
  </si>
  <si>
    <t>kg.</t>
  </si>
  <si>
    <t>Dovrebbe riuscire ad entrare con quota del 5% in un mercato in cui l'italiano più forte a basso prezzo è al 12%. Non è facile perché è un prodotto di fascia alta. Ma proprio perché è unico ce la può fare. Basta rosicchiare quasi un punto a tutti</t>
  </si>
  <si>
    <t>Esclusione fasce 61-80 e 81-100</t>
  </si>
  <si>
    <t>Costi fissi comuni incrementali</t>
  </si>
  <si>
    <t xml:space="preserve">I costi fissi specifici sono considerati secondo l'ottica dei costi incrementali (marginali). Non si sarebbero sostenuti senza questa decisione di nvestimento ma sono fissi perché non correlati al volume di produzione. I costi fissi comuni sono costi che l'azienda sostiene in ogni caso, a prescindere dall'ingresso nel mercato tedesco. La percentuale considerata in più è calcolata perché è un costo aggiuntivo che l'impresa sostiene per l'ingresso nel nuovo mercato. </t>
  </si>
  <si>
    <r>
      <t xml:space="preserve">I costi fissi specifici sono considerati secondo l'ottica dei costi incrementali (marginali). Non si sarebbero sostenuti senza questa decisione di nvestimento ma sono fissi perché non correlati al volume di produzione. I costi fissi comuni sono costi che l'azienda sostiene in ogni caso. La percentuale considerata è calcolata scegliendo basi di ripartizione differenti a secondo del costo considerato e tenendo presente che tale operazione si rende necessaria perchè l'azienda non è monoprodotto. In questo caso si applica una logica di </t>
    </r>
    <r>
      <rPr>
        <i/>
        <sz val="10"/>
        <rFont val="Arial"/>
        <family val="2"/>
      </rPr>
      <t>full costing (su base multipla).</t>
    </r>
  </si>
  <si>
    <t>Comunicazione (spesa annuale)</t>
  </si>
  <si>
    <t>PREZZO PIENO</t>
  </si>
  <si>
    <t xml:space="preserve">PREZZO MINIMO </t>
  </si>
  <si>
    <t xml:space="preserve">Costo fisso medio </t>
  </si>
  <si>
    <t xml:space="preserve">Costo fisso specifico medio </t>
  </si>
  <si>
    <r>
      <t>g</t>
    </r>
    <r>
      <rPr>
        <sz val="10"/>
        <rFont val="Arial"/>
        <family val="0"/>
      </rPr>
      <t xml:space="preserve"> corrisponde alla media geometrica dei tassi di crescita</t>
    </r>
  </si>
  <si>
    <t>Germania</t>
  </si>
  <si>
    <t>Italia</t>
  </si>
  <si>
    <t>5,6%</t>
  </si>
  <si>
    <t>2,78%</t>
  </si>
  <si>
    <t>Italia 2002-1992</t>
  </si>
  <si>
    <t>Italia 1992-1982</t>
  </si>
  <si>
    <t>Italia 2002-1982</t>
  </si>
  <si>
    <t>Germania 2002-1992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</si>
</sst>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[Red]\-#,##0.00\ "/>
    <numFmt numFmtId="165" formatCode="#,##0_ ;[Red]\-#,##0\ "/>
    <numFmt numFmtId="166" formatCode="#,##0.000000_ ;[Red]\-#,##0.000000\ "/>
    <numFmt numFmtId="167" formatCode="#,##0.00000_ ;[Red]\-#,##0.00000\ "/>
    <numFmt numFmtId="168" formatCode="0.0%"/>
    <numFmt numFmtId="169" formatCode="#,##0.000_ ;[Red]\-#,##0.000\ "/>
    <numFmt numFmtId="170" formatCode="#,##0.0000_ ;[Red]\-#,##0.0000\ "/>
    <numFmt numFmtId="171" formatCode="#,##0.0000000_ ;[Red]\-#,##0.0000000\ "/>
    <numFmt numFmtId="172" formatCode="#,##0.0_ ;[Red]\-#,##0.0\ 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sz val="12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5" fillId="0" borderId="0" xfId="0" applyFont="1" applyAlignment="1">
      <alignment/>
    </xf>
    <xf numFmtId="9" fontId="0" fillId="0" borderId="0" xfId="19" applyAlignment="1">
      <alignment/>
    </xf>
    <xf numFmtId="10" fontId="0" fillId="0" borderId="0" xfId="19" applyNumberFormat="1" applyAlignment="1">
      <alignment/>
    </xf>
    <xf numFmtId="9" fontId="0" fillId="0" borderId="0" xfId="19" applyFont="1" applyAlignment="1">
      <alignment/>
    </xf>
    <xf numFmtId="9" fontId="2" fillId="0" borderId="0" xfId="19" applyFont="1" applyAlignment="1">
      <alignment/>
    </xf>
    <xf numFmtId="164" fontId="0" fillId="2" borderId="0" xfId="0" applyFill="1" applyAlignment="1">
      <alignment/>
    </xf>
    <xf numFmtId="164" fontId="2" fillId="0" borderId="0" xfId="0" applyFont="1" applyFill="1" applyAlignment="1">
      <alignment/>
    </xf>
    <xf numFmtId="164" fontId="0" fillId="0" borderId="0" xfId="0" applyFill="1" applyAlignment="1">
      <alignment/>
    </xf>
    <xf numFmtId="164" fontId="0" fillId="0" borderId="0" xfId="0" applyFont="1" applyAlignment="1">
      <alignment/>
    </xf>
    <xf numFmtId="169" fontId="2" fillId="0" borderId="0" xfId="0" applyNumberFormat="1" applyFont="1" applyAlignment="1">
      <alignment/>
    </xf>
    <xf numFmtId="164" fontId="0" fillId="0" borderId="0" xfId="0" applyAlignment="1">
      <alignment horizontal="center" vertical="center" wrapText="1"/>
    </xf>
    <xf numFmtId="169" fontId="0" fillId="0" borderId="0" xfId="0" applyNumberFormat="1" applyAlignment="1">
      <alignment/>
    </xf>
    <xf numFmtId="172" fontId="0" fillId="0" borderId="0" xfId="0" applyNumberFormat="1" applyAlignment="1">
      <alignment/>
    </xf>
    <xf numFmtId="164" fontId="5" fillId="0" borderId="0" xfId="0" applyFont="1" applyFill="1" applyAlignment="1">
      <alignment/>
    </xf>
    <xf numFmtId="165" fontId="0" fillId="2" borderId="0" xfId="0" applyNumberFormat="1" applyFill="1" applyAlignment="1">
      <alignment/>
    </xf>
    <xf numFmtId="164" fontId="8" fillId="0" borderId="0" xfId="0" applyFont="1" applyAlignment="1">
      <alignment/>
    </xf>
    <xf numFmtId="164" fontId="0" fillId="0" borderId="0" xfId="0" applyAlignment="1" quotePrefix="1">
      <alignment/>
    </xf>
    <xf numFmtId="164" fontId="12" fillId="0" borderId="0" xfId="0" applyFont="1" applyAlignment="1">
      <alignment/>
    </xf>
    <xf numFmtId="164" fontId="13" fillId="0" borderId="0" xfId="0" applyFont="1" applyFill="1" applyBorder="1" applyAlignment="1">
      <alignment horizontal="justify" vertical="top" wrapText="1"/>
    </xf>
    <xf numFmtId="164" fontId="0" fillId="0" borderId="0" xfId="0" applyFont="1" applyBorder="1" applyAlignment="1">
      <alignment horizontal="justify" vertical="top" wrapText="1"/>
    </xf>
    <xf numFmtId="164" fontId="0" fillId="0" borderId="0" xfId="0" applyFont="1" applyAlignment="1">
      <alignment horizontal="right"/>
    </xf>
    <xf numFmtId="164" fontId="0" fillId="0" borderId="0" xfId="0" applyAlignment="1">
      <alignment wrapText="1"/>
    </xf>
    <xf numFmtId="164" fontId="0" fillId="0" borderId="0" xfId="0" applyAlignment="1" quotePrefix="1">
      <alignment horizontal="center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164" fontId="0" fillId="0" borderId="4" xfId="0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0" fillId="0" borderId="5" xfId="0" applyBorder="1" applyAlignment="1">
      <alignment horizontal="center" vertical="center" wrapText="1"/>
    </xf>
    <xf numFmtId="164" fontId="0" fillId="0" borderId="6" xfId="0" applyBorder="1" applyAlignment="1">
      <alignment horizontal="center" vertical="center" wrapText="1"/>
    </xf>
    <xf numFmtId="164" fontId="0" fillId="0" borderId="7" xfId="0" applyBorder="1" applyAlignment="1">
      <alignment horizontal="center" vertical="center" wrapText="1"/>
    </xf>
    <xf numFmtId="164" fontId="0" fillId="0" borderId="8" xfId="0" applyBorder="1" applyAlignment="1">
      <alignment horizontal="center" vertical="center" wrapText="1"/>
    </xf>
    <xf numFmtId="164" fontId="5" fillId="0" borderId="0" xfId="0" applyFont="1" applyAlignment="1">
      <alignment wrapText="1"/>
    </xf>
    <xf numFmtId="164" fontId="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Break Even Point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'BEP Giandujotti Germania'!$B$74</c:f>
              <c:strCache>
                <c:ptCount val="1"/>
                <c:pt idx="0">
                  <c:v>Costi variabili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'BEP Giandujotti Germania'!$A$75:$A$83</c:f>
              <c:numCache/>
            </c:numRef>
          </c:xVal>
          <c:yVal>
            <c:numRef>
              <c:f>'BEP Giandujotti Germania'!$B$75:$B$83</c:f>
              <c:numCache/>
            </c:numRef>
          </c:yVal>
          <c:smooth val="0"/>
        </c:ser>
        <c:ser>
          <c:idx val="1"/>
          <c:order val="1"/>
          <c:tx>
            <c:strRef>
              <c:f>'BEP Giandujotti Germania'!$C$74</c:f>
              <c:strCache>
                <c:ptCount val="1"/>
                <c:pt idx="0">
                  <c:v>Costi fissi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'BEP Giandujotti Germania'!$A$75:$A$83</c:f>
              <c:numCache/>
            </c:numRef>
          </c:xVal>
          <c:yVal>
            <c:numRef>
              <c:f>'BEP Giandujotti Germania'!$C$75:$C$83</c:f>
              <c:numCache/>
            </c:numRef>
          </c:yVal>
          <c:smooth val="0"/>
        </c:ser>
        <c:ser>
          <c:idx val="2"/>
          <c:order val="2"/>
          <c:tx>
            <c:strRef>
              <c:f>'BEP Giandujotti Germania'!$D$74</c:f>
              <c:strCache>
                <c:ptCount val="1"/>
                <c:pt idx="0">
                  <c:v>Costi totali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'BEP Giandujotti Germania'!$A$75:$A$83</c:f>
              <c:numCache/>
            </c:numRef>
          </c:xVal>
          <c:yVal>
            <c:numRef>
              <c:f>'BEP Giandujotti Germania'!$D$75:$D$83</c:f>
              <c:numCache/>
            </c:numRef>
          </c:yVal>
          <c:smooth val="0"/>
        </c:ser>
        <c:ser>
          <c:idx val="3"/>
          <c:order val="3"/>
          <c:tx>
            <c:strRef>
              <c:f>'BEP Giandujotti Germania'!$E$74</c:f>
              <c:strCache>
                <c:ptCount val="1"/>
                <c:pt idx="0">
                  <c:v>Ricavi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'BEP Giandujotti Germania'!$A$75:$A$83</c:f>
              <c:numCache/>
            </c:numRef>
          </c:xVal>
          <c:yVal>
            <c:numRef>
              <c:f>'BEP Giandujotti Germania'!$E$75:$E$83</c:f>
              <c:numCache/>
            </c:numRef>
          </c:yVal>
          <c:smooth val="0"/>
        </c:ser>
        <c:axId val="52135995"/>
        <c:axId val="66570772"/>
      </c:scatterChart>
      <c:valAx>
        <c:axId val="52135995"/>
        <c:scaling>
          <c:orientation val="minMax"/>
          <c:max val="2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Quantità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70772"/>
        <c:crosses val="autoZero"/>
        <c:crossBetween val="midCat"/>
        <c:dispUnits/>
        <c:majorUnit val="3000"/>
      </c:valAx>
      <c:valAx>
        <c:axId val="66570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Ricavi, Costi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1359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'BEP Giandujotti Germania'!$B$109</c:f>
              <c:strCache>
                <c:ptCount val="1"/>
                <c:pt idx="0">
                  <c:v>Costi variabili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'BEP Giandujotti Germania'!$A$110:$A$118</c:f>
              <c:numCache/>
            </c:numRef>
          </c:xVal>
          <c:yVal>
            <c:numRef>
              <c:f>'BEP Giandujotti Germania'!$B$110:$B$118</c:f>
              <c:numCache/>
            </c:numRef>
          </c:yVal>
          <c:smooth val="0"/>
        </c:ser>
        <c:ser>
          <c:idx val="1"/>
          <c:order val="1"/>
          <c:tx>
            <c:strRef>
              <c:f>'BEP Giandujotti Germania'!$C$109</c:f>
              <c:strCache>
                <c:ptCount val="1"/>
                <c:pt idx="0">
                  <c:v>Costi fissi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'BEP Giandujotti Germania'!$A$110:$A$118</c:f>
              <c:numCache/>
            </c:numRef>
          </c:xVal>
          <c:yVal>
            <c:numRef>
              <c:f>'BEP Giandujotti Germania'!$C$110:$C$118</c:f>
              <c:numCache/>
            </c:numRef>
          </c:yVal>
          <c:smooth val="0"/>
        </c:ser>
        <c:ser>
          <c:idx val="2"/>
          <c:order val="2"/>
          <c:tx>
            <c:strRef>
              <c:f>'BEP Giandujotti Germania'!$D$109</c:f>
              <c:strCache>
                <c:ptCount val="1"/>
                <c:pt idx="0">
                  <c:v>Costi totali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'BEP Giandujotti Germania'!$A$110:$A$118</c:f>
              <c:numCache/>
            </c:numRef>
          </c:xVal>
          <c:yVal>
            <c:numRef>
              <c:f>'BEP Giandujotti Germania'!$D$110:$D$118</c:f>
              <c:numCache/>
            </c:numRef>
          </c:yVal>
          <c:smooth val="0"/>
        </c:ser>
        <c:ser>
          <c:idx val="3"/>
          <c:order val="3"/>
          <c:tx>
            <c:strRef>
              <c:f>'BEP Giandujotti Germania'!$E$109</c:f>
              <c:strCache>
                <c:ptCount val="1"/>
                <c:pt idx="0">
                  <c:v>Margine contribuzione al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'BEP Giandujotti Germania'!$A$110:$A$118</c:f>
              <c:numCache/>
            </c:numRef>
          </c:xVal>
          <c:yVal>
            <c:numRef>
              <c:f>'BEP Giandujotti Germania'!$E$110:$E$118</c:f>
              <c:numCache/>
            </c:numRef>
          </c:yVal>
          <c:smooth val="0"/>
        </c:ser>
        <c:ser>
          <c:idx val="4"/>
          <c:order val="4"/>
          <c:tx>
            <c:strRef>
              <c:f>'BEP Giandujotti Germania'!$F$109</c:f>
              <c:strCache>
                <c:ptCount val="1"/>
                <c:pt idx="0">
                  <c:v>Ricavi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'BEP Giandujotti Germania'!$A$110:$A$118</c:f>
              <c:numCache/>
            </c:numRef>
          </c:xVal>
          <c:yVal>
            <c:numRef>
              <c:f>'BEP Giandujotti Germania'!$F$110:$F$118</c:f>
              <c:numCache/>
            </c:numRef>
          </c:yVal>
          <c:smooth val="0"/>
        </c:ser>
        <c:axId val="62266037"/>
        <c:axId val="23523422"/>
      </c:scatterChart>
      <c:valAx>
        <c:axId val="62266037"/>
        <c:scaling>
          <c:orientation val="minMax"/>
          <c:max val="200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3523422"/>
        <c:crosses val="autoZero"/>
        <c:crossBetween val="midCat"/>
        <c:dispUnits/>
        <c:majorUnit val="3000"/>
      </c:valAx>
      <c:valAx>
        <c:axId val="2352342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266037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86</xdr:row>
      <xdr:rowOff>57150</xdr:rowOff>
    </xdr:from>
    <xdr:to>
      <xdr:col>6</xdr:col>
      <xdr:colOff>762000</xdr:colOff>
      <xdr:row>106</xdr:row>
      <xdr:rowOff>0</xdr:rowOff>
    </xdr:to>
    <xdr:graphicFrame>
      <xdr:nvGraphicFramePr>
        <xdr:cNvPr id="1" name="Chart 14"/>
        <xdr:cNvGraphicFramePr/>
      </xdr:nvGraphicFramePr>
      <xdr:xfrm>
        <a:off x="733425" y="13982700"/>
        <a:ext cx="74866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121</xdr:row>
      <xdr:rowOff>0</xdr:rowOff>
    </xdr:from>
    <xdr:to>
      <xdr:col>5</xdr:col>
      <xdr:colOff>1295400</xdr:colOff>
      <xdr:row>141</xdr:row>
      <xdr:rowOff>114300</xdr:rowOff>
    </xdr:to>
    <xdr:graphicFrame>
      <xdr:nvGraphicFramePr>
        <xdr:cNvPr id="2" name="Chart 16"/>
        <xdr:cNvGraphicFramePr/>
      </xdr:nvGraphicFramePr>
      <xdr:xfrm>
        <a:off x="361950" y="19592925"/>
        <a:ext cx="704850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BreakPreview" zoomScale="60" workbookViewId="0" topLeftCell="A1">
      <selection activeCell="A1" sqref="A1:G61"/>
    </sheetView>
  </sheetViews>
  <sheetFormatPr defaultColWidth="9.140625" defaultRowHeight="12.75"/>
  <cols>
    <col min="1" max="1" width="31.7109375" style="0" bestFit="1" customWidth="1"/>
    <col min="2" max="2" width="18.421875" style="0" bestFit="1" customWidth="1"/>
    <col min="3" max="3" width="20.7109375" style="0" customWidth="1"/>
    <col min="4" max="4" width="15.140625" style="0" customWidth="1"/>
    <col min="5" max="5" width="16.140625" style="0" customWidth="1"/>
  </cols>
  <sheetData>
    <row r="1" ht="15.75">
      <c r="A1" s="20" t="s">
        <v>99</v>
      </c>
    </row>
    <row r="2" spans="2:3" ht="12.75">
      <c r="B2" t="s">
        <v>139</v>
      </c>
      <c r="C2" t="s">
        <v>140</v>
      </c>
    </row>
    <row r="3" spans="1:3" ht="12.75">
      <c r="A3" s="22" t="s">
        <v>100</v>
      </c>
      <c r="B3" s="22" t="s">
        <v>101</v>
      </c>
      <c r="C3" s="22" t="s">
        <v>101</v>
      </c>
    </row>
    <row r="4" spans="1:3" ht="12.75">
      <c r="A4" s="21" t="s">
        <v>102</v>
      </c>
      <c r="B4">
        <v>2.2</v>
      </c>
      <c r="C4">
        <v>1.2</v>
      </c>
    </row>
    <row r="5" spans="1:3" ht="12.75">
      <c r="A5" s="21" t="s">
        <v>103</v>
      </c>
      <c r="B5">
        <v>3.8</v>
      </c>
      <c r="C5">
        <v>2.8</v>
      </c>
    </row>
    <row r="6" spans="1:3" ht="12.75">
      <c r="A6" s="21" t="s">
        <v>104</v>
      </c>
      <c r="B6">
        <v>5</v>
      </c>
      <c r="C6">
        <v>4</v>
      </c>
    </row>
    <row r="8" spans="1:4" ht="12.75">
      <c r="A8" t="s">
        <v>105</v>
      </c>
      <c r="D8" s="5" t="s">
        <v>138</v>
      </c>
    </row>
    <row r="23" spans="1:3" ht="12.75" customHeight="1">
      <c r="A23" s="26" t="s">
        <v>106</v>
      </c>
      <c r="C23">
        <v>0.1</v>
      </c>
    </row>
    <row r="24" spans="1:3" ht="12.75">
      <c r="A24" s="26"/>
      <c r="C24">
        <f>+B5/B4</f>
        <v>1.727272727272727</v>
      </c>
    </row>
    <row r="25" ht="12.75">
      <c r="C25">
        <f>POWER(C24,C23)</f>
        <v>1.0561755063153762</v>
      </c>
    </row>
    <row r="26" ht="12.75">
      <c r="C26" s="16">
        <f>+C25-1</f>
        <v>0.056175506315376156</v>
      </c>
    </row>
    <row r="27" ht="12.75">
      <c r="C27">
        <f>+C26*100</f>
        <v>5.617550631537616</v>
      </c>
    </row>
    <row r="28" ht="12.75">
      <c r="B28" s="27" t="s">
        <v>141</v>
      </c>
    </row>
    <row r="29" ht="12.75">
      <c r="B29" s="28"/>
    </row>
    <row r="31" spans="3:6" ht="12.75">
      <c r="C31" t="s">
        <v>146</v>
      </c>
      <c r="D31" t="s">
        <v>145</v>
      </c>
      <c r="E31" t="s">
        <v>143</v>
      </c>
      <c r="F31" t="s">
        <v>144</v>
      </c>
    </row>
    <row r="32" spans="1:6" ht="12.75">
      <c r="A32" s="26" t="s">
        <v>107</v>
      </c>
      <c r="B32" s="27" t="s">
        <v>142</v>
      </c>
      <c r="C32">
        <v>0.1</v>
      </c>
      <c r="D32">
        <v>0.05</v>
      </c>
      <c r="E32">
        <v>0.1</v>
      </c>
      <c r="F32">
        <v>0.1</v>
      </c>
    </row>
    <row r="33" spans="1:6" ht="12.75">
      <c r="A33" s="26"/>
      <c r="B33" s="28"/>
      <c r="C33">
        <f>+B6/B5</f>
        <v>1.3157894736842106</v>
      </c>
      <c r="D33">
        <f>+C6/C4</f>
        <v>3.3333333333333335</v>
      </c>
      <c r="E33">
        <f>+C6/C5</f>
        <v>1.4285714285714286</v>
      </c>
      <c r="F33">
        <f>+C5/C4</f>
        <v>2.3333333333333335</v>
      </c>
    </row>
    <row r="34" spans="3:6" ht="12.75">
      <c r="C34" s="16">
        <f>POWER(C33,C32)</f>
        <v>1.0278237311421852</v>
      </c>
      <c r="D34" s="16">
        <f>POWER(D33,D32)</f>
        <v>1.0620474909369635</v>
      </c>
      <c r="E34" s="16">
        <f>POWER(E33,E32)</f>
        <v>1.0363112099103142</v>
      </c>
      <c r="F34" s="16">
        <f>POWER(F33,F32)</f>
        <v>1.0884229198901703</v>
      </c>
    </row>
    <row r="35" spans="3:6" ht="12.75">
      <c r="C35" s="16">
        <f>+C34-1</f>
        <v>0.02782373114218517</v>
      </c>
      <c r="D35" s="16">
        <f>+D34-1</f>
        <v>0.06204749093696349</v>
      </c>
      <c r="E35" s="16">
        <f>+E34-1</f>
        <v>0.036311209910314224</v>
      </c>
      <c r="F35" s="16">
        <f>+F34-1</f>
        <v>0.08842291989017026</v>
      </c>
    </row>
    <row r="36" spans="1:6" ht="12.75">
      <c r="A36" t="s">
        <v>108</v>
      </c>
      <c r="C36">
        <f>+C35*100</f>
        <v>2.782373114218517</v>
      </c>
      <c r="D36">
        <f>+D35*100</f>
        <v>6.204749093696349</v>
      </c>
      <c r="E36">
        <f>+E35*100</f>
        <v>3.6311209910314224</v>
      </c>
      <c r="F36">
        <f>+F35*100</f>
        <v>8.842291989017026</v>
      </c>
    </row>
    <row r="37" spans="1:2" ht="12.75">
      <c r="A37" t="s">
        <v>109</v>
      </c>
      <c r="B37" s="4">
        <f>+B6+(B6*B32)</f>
        <v>5.139</v>
      </c>
    </row>
    <row r="38" spans="1:2" ht="12.75">
      <c r="A38" t="s">
        <v>110</v>
      </c>
      <c r="B38" s="4">
        <f>+B37+(B37*$B$32)</f>
        <v>5.2818642</v>
      </c>
    </row>
    <row r="39" spans="1:2" ht="12.75">
      <c r="A39" t="s">
        <v>111</v>
      </c>
      <c r="B39" s="4">
        <f>+B38+(B38*$B$32)</f>
        <v>5.42870002476</v>
      </c>
    </row>
    <row r="42" ht="12.75">
      <c r="A42" t="s">
        <v>112</v>
      </c>
    </row>
    <row r="44" spans="1:2" ht="12.75">
      <c r="A44" t="s">
        <v>122</v>
      </c>
      <c r="B44" s="2">
        <v>82400000</v>
      </c>
    </row>
    <row r="46" spans="1:5" ht="25.5">
      <c r="A46" s="24" t="s">
        <v>113</v>
      </c>
      <c r="B46" s="24" t="s">
        <v>114</v>
      </c>
      <c r="C46" s="24" t="s">
        <v>115</v>
      </c>
      <c r="D46" s="24" t="s">
        <v>123</v>
      </c>
      <c r="E46" s="24" t="s">
        <v>124</v>
      </c>
    </row>
    <row r="47" spans="1:5" ht="12.75">
      <c r="A47" s="24" t="s">
        <v>116</v>
      </c>
      <c r="B47" s="24">
        <v>10.5</v>
      </c>
      <c r="C47" s="24">
        <v>11.1</v>
      </c>
      <c r="D47">
        <f>+B47+C47</f>
        <v>21.6</v>
      </c>
      <c r="E47" s="2">
        <f>+$B$44*D47/100</f>
        <v>17798400</v>
      </c>
    </row>
    <row r="48" spans="1:5" ht="12.75">
      <c r="A48" s="24" t="s">
        <v>117</v>
      </c>
      <c r="B48" s="24">
        <v>14.7</v>
      </c>
      <c r="C48" s="24">
        <v>15.7</v>
      </c>
      <c r="D48">
        <f>+B48+C48</f>
        <v>30.4</v>
      </c>
      <c r="E48" s="2">
        <f>+$B$44*D48/100</f>
        <v>25049600</v>
      </c>
    </row>
    <row r="49" spans="1:5" ht="12.75">
      <c r="A49" s="24" t="s">
        <v>118</v>
      </c>
      <c r="B49" s="24">
        <v>13.2</v>
      </c>
      <c r="C49" s="24">
        <v>13.5</v>
      </c>
      <c r="D49">
        <f>+B49+C49</f>
        <v>26.7</v>
      </c>
      <c r="E49" s="2">
        <f>+$B$44*D49/100</f>
        <v>22000800</v>
      </c>
    </row>
    <row r="50" spans="1:5" ht="12.75">
      <c r="A50" s="24" t="s">
        <v>119</v>
      </c>
      <c r="B50" s="24">
        <v>10.1</v>
      </c>
      <c r="C50" s="24">
        <v>7.5</v>
      </c>
      <c r="D50">
        <f>+B50+C50</f>
        <v>17.6</v>
      </c>
      <c r="E50" s="2">
        <f>+$B$44*D50/100</f>
        <v>14502400</v>
      </c>
    </row>
    <row r="51" spans="1:5" ht="12.75">
      <c r="A51" s="24" t="s">
        <v>120</v>
      </c>
      <c r="B51" s="24">
        <v>2.8</v>
      </c>
      <c r="C51" s="24">
        <v>0.9</v>
      </c>
      <c r="D51">
        <f>+B51+C51</f>
        <v>3.6999999999999997</v>
      </c>
      <c r="E51" s="2">
        <f>+$B$44*D51/100</f>
        <v>3048800</v>
      </c>
    </row>
    <row r="52" spans="1:5" ht="12.75">
      <c r="A52" s="24" t="s">
        <v>121</v>
      </c>
      <c r="B52" s="24">
        <v>51.3</v>
      </c>
      <c r="C52" s="24">
        <v>48.7</v>
      </c>
      <c r="D52">
        <f>SUM(D47:D51)</f>
        <v>100.00000000000001</v>
      </c>
      <c r="E52" s="2">
        <f>SUM(E47:E51)</f>
        <v>82400000</v>
      </c>
    </row>
    <row r="55" ht="15.75">
      <c r="A55" s="23" t="s">
        <v>129</v>
      </c>
    </row>
    <row r="57" ht="12.75">
      <c r="A57" t="s">
        <v>125</v>
      </c>
    </row>
    <row r="58" ht="12.75">
      <c r="A58" s="2">
        <f>+SUM(E47:E49)</f>
        <v>64848800</v>
      </c>
    </row>
    <row r="60" ht="12.75">
      <c r="A60" t="s">
        <v>126</v>
      </c>
    </row>
    <row r="61" spans="1:2" ht="12.75">
      <c r="A61" s="2">
        <f>+B39*A58</f>
        <v>352044682.1656563</v>
      </c>
      <c r="B61" t="s">
        <v>127</v>
      </c>
    </row>
  </sheetData>
  <mergeCells count="4">
    <mergeCell ref="A23:A24"/>
    <mergeCell ref="B28:B29"/>
    <mergeCell ref="A32:A33"/>
    <mergeCell ref="B32:B33"/>
  </mergeCells>
  <printOptions/>
  <pageMargins left="0.75" right="0.75" top="1" bottom="1" header="0.5" footer="0.5"/>
  <pageSetup horizontalDpi="300" verticalDpi="300" orientation="portrait" paperSize="9" scale="72" r:id="rId7"/>
  <legacyDrawing r:id="rId6"/>
  <oleObjects>
    <oleObject progId="Equation.3" shapeId="123704" r:id="rId1"/>
    <oleObject progId="Equation.3" shapeId="132240" r:id="rId2"/>
    <oleObject progId="Equation.3" shapeId="170016" r:id="rId3"/>
    <oleObject progId="Equation.3" shapeId="175148" r:id="rId4"/>
    <oleObject progId="Equation.3" shapeId="178272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118"/>
  <sheetViews>
    <sheetView view="pageBreakPreview" zoomScale="60" workbookViewId="0" topLeftCell="A111">
      <selection activeCell="S44" sqref="S44"/>
    </sheetView>
  </sheetViews>
  <sheetFormatPr defaultColWidth="9.140625" defaultRowHeight="12.75"/>
  <cols>
    <col min="1" max="1" width="36.57421875" style="0" customWidth="1"/>
    <col min="2" max="2" width="15.7109375" style="0" customWidth="1"/>
    <col min="3" max="3" width="15.140625" style="0" customWidth="1"/>
    <col min="4" max="5" width="12.140625" style="0" customWidth="1"/>
    <col min="6" max="6" width="20.140625" style="0" customWidth="1"/>
    <col min="7" max="7" width="12.00390625" style="0" customWidth="1"/>
    <col min="9" max="9" width="9.140625" style="17" customWidth="1"/>
  </cols>
  <sheetData>
    <row r="1" ht="12.75">
      <c r="A1" s="1" t="s">
        <v>0</v>
      </c>
    </row>
    <row r="2" ht="12.75"/>
    <row r="3" ht="12.75">
      <c r="A3" s="1" t="s">
        <v>1</v>
      </c>
    </row>
    <row r="4" spans="1:2" ht="12.75">
      <c r="A4" t="s">
        <v>2</v>
      </c>
      <c r="B4">
        <v>19.8</v>
      </c>
    </row>
    <row r="5" spans="1:2" ht="12.75">
      <c r="A5" t="s">
        <v>4</v>
      </c>
      <c r="B5">
        <f>+B4/500</f>
        <v>0.0396</v>
      </c>
    </row>
    <row r="6" spans="1:2" ht="12.75">
      <c r="A6" t="s">
        <v>3</v>
      </c>
      <c r="B6">
        <v>8.5</v>
      </c>
    </row>
    <row r="7" spans="1:2" ht="12.75">
      <c r="A7" s="1" t="s">
        <v>5</v>
      </c>
      <c r="B7" s="14">
        <f>+B5*B6</f>
        <v>0.3366</v>
      </c>
    </row>
    <row r="8" ht="12.75"/>
    <row r="9" ht="12.75">
      <c r="A9" s="1" t="s">
        <v>14</v>
      </c>
    </row>
    <row r="10" spans="1:5" ht="12.75">
      <c r="A10" s="5" t="s">
        <v>15</v>
      </c>
      <c r="B10" t="s">
        <v>25</v>
      </c>
      <c r="C10" t="s">
        <v>85</v>
      </c>
      <c r="D10" t="s">
        <v>23</v>
      </c>
      <c r="E10" t="s">
        <v>17</v>
      </c>
    </row>
    <row r="11" spans="1:6" ht="12.75">
      <c r="A11" t="s">
        <v>16</v>
      </c>
      <c r="B11">
        <v>5.5</v>
      </c>
      <c r="C11" s="3">
        <f aca="true" t="shared" si="0" ref="C11:C17">+B11/1000</f>
        <v>0.0055</v>
      </c>
      <c r="D11">
        <v>2.5</v>
      </c>
      <c r="E11" s="3">
        <f>+C11*D11</f>
        <v>0.013749999999999998</v>
      </c>
      <c r="F11" s="4"/>
    </row>
    <row r="12" spans="1:5" ht="12.75">
      <c r="A12" t="s">
        <v>19</v>
      </c>
      <c r="B12">
        <v>150</v>
      </c>
      <c r="C12" s="3">
        <f t="shared" si="0"/>
        <v>0.15</v>
      </c>
      <c r="D12">
        <v>0.15</v>
      </c>
      <c r="E12" s="3">
        <f aca="true" t="shared" si="1" ref="E12:E17">+C12*D12</f>
        <v>0.0225</v>
      </c>
    </row>
    <row r="13" spans="1:5" ht="12.75">
      <c r="A13" t="s">
        <v>84</v>
      </c>
      <c r="B13">
        <f>2.5*5</f>
        <v>12.5</v>
      </c>
      <c r="C13" s="3">
        <f t="shared" si="0"/>
        <v>0.0125</v>
      </c>
      <c r="D13">
        <v>2.5</v>
      </c>
      <c r="E13" s="3">
        <f t="shared" si="1"/>
        <v>0.03125</v>
      </c>
    </row>
    <row r="14" spans="1:5" ht="12.75">
      <c r="A14" t="s">
        <v>21</v>
      </c>
      <c r="B14">
        <f>1760/1936.27</f>
        <v>0.9089641423974962</v>
      </c>
      <c r="C14" s="3">
        <f t="shared" si="0"/>
        <v>0.0009089641423974962</v>
      </c>
      <c r="D14">
        <v>0.5</v>
      </c>
      <c r="E14" s="3">
        <f t="shared" si="1"/>
        <v>0.0004544820711987481</v>
      </c>
    </row>
    <row r="15" spans="1:5" ht="12.75">
      <c r="A15" t="s">
        <v>24</v>
      </c>
      <c r="B15">
        <v>0.341</v>
      </c>
      <c r="C15" s="3">
        <f t="shared" si="0"/>
        <v>0.00034100000000000005</v>
      </c>
      <c r="D15">
        <v>2.55</v>
      </c>
      <c r="E15" s="3">
        <f t="shared" si="1"/>
        <v>0.0008695500000000001</v>
      </c>
    </row>
    <row r="16" spans="1:5" ht="12.75">
      <c r="A16" t="s">
        <v>20</v>
      </c>
      <c r="B16">
        <v>1</v>
      </c>
      <c r="C16" s="3">
        <f t="shared" si="0"/>
        <v>0.001</v>
      </c>
      <c r="D16">
        <v>0.25</v>
      </c>
      <c r="E16" s="3">
        <f t="shared" si="1"/>
        <v>0.00025</v>
      </c>
    </row>
    <row r="17" spans="1:5" ht="12.75">
      <c r="A17" t="s">
        <v>18</v>
      </c>
      <c r="B17">
        <v>2</v>
      </c>
      <c r="C17" s="3">
        <f t="shared" si="0"/>
        <v>0.002</v>
      </c>
      <c r="D17">
        <v>0.05</v>
      </c>
      <c r="E17" s="3">
        <f t="shared" si="1"/>
        <v>0.0001</v>
      </c>
    </row>
    <row r="18" spans="1:5" ht="12.75">
      <c r="A18" t="s">
        <v>49</v>
      </c>
      <c r="B18">
        <v>1</v>
      </c>
      <c r="C18" s="3"/>
      <c r="E18" s="3">
        <f>+B18/25</f>
        <v>0.04</v>
      </c>
    </row>
    <row r="19" spans="1:5" ht="12.75">
      <c r="A19" t="s">
        <v>86</v>
      </c>
      <c r="C19" s="3"/>
      <c r="E19" s="3">
        <f>0.05*B7</f>
        <v>0.01683</v>
      </c>
    </row>
    <row r="20" spans="1:5" ht="12.75">
      <c r="A20" s="1" t="s">
        <v>38</v>
      </c>
      <c r="B20">
        <f>SUM(B11:B17)</f>
        <v>172.24996414239752</v>
      </c>
      <c r="C20">
        <f>SUM(C11:C18)</f>
        <v>0.17224996414239752</v>
      </c>
      <c r="D20">
        <f>SUM(D11:D17)</f>
        <v>8.5</v>
      </c>
      <c r="E20" s="14">
        <f>SUM(E11:E19)</f>
        <v>0.12600403207119876</v>
      </c>
    </row>
    <row r="21" spans="1:7" ht="12.75">
      <c r="A21" s="1"/>
      <c r="G21" s="1"/>
    </row>
    <row r="22" ht="12.75"/>
    <row r="23" spans="1:8" ht="12.75">
      <c r="A23" s="1" t="s">
        <v>51</v>
      </c>
      <c r="B23" t="s">
        <v>30</v>
      </c>
      <c r="D23" s="29" t="s">
        <v>131</v>
      </c>
      <c r="E23" s="30"/>
      <c r="F23" s="30"/>
      <c r="G23" s="31"/>
      <c r="H23" s="15"/>
    </row>
    <row r="24" spans="1:8" ht="12.75">
      <c r="A24" t="s">
        <v>27</v>
      </c>
      <c r="B24">
        <v>250000</v>
      </c>
      <c r="D24" s="32"/>
      <c r="E24" s="33"/>
      <c r="F24" s="33"/>
      <c r="G24" s="34"/>
      <c r="H24" s="15"/>
    </row>
    <row r="25" spans="1:8" ht="12.75">
      <c r="A25" t="s">
        <v>32</v>
      </c>
      <c r="B25">
        <v>40000</v>
      </c>
      <c r="D25" s="32"/>
      <c r="E25" s="33"/>
      <c r="F25" s="33"/>
      <c r="G25" s="34"/>
      <c r="H25" s="15"/>
    </row>
    <row r="26" spans="1:8" ht="12.75">
      <c r="A26" s="5" t="s">
        <v>28</v>
      </c>
      <c r="D26" s="32"/>
      <c r="E26" s="33"/>
      <c r="F26" s="33"/>
      <c r="G26" s="34"/>
      <c r="H26" s="15"/>
    </row>
    <row r="27" spans="1:8" ht="12.75">
      <c r="A27" t="s">
        <v>87</v>
      </c>
      <c r="B27">
        <v>35000</v>
      </c>
      <c r="D27" s="32"/>
      <c r="E27" s="33"/>
      <c r="F27" s="33"/>
      <c r="G27" s="34"/>
      <c r="H27" s="15"/>
    </row>
    <row r="28" spans="1:8" ht="12.75">
      <c r="A28" t="s">
        <v>31</v>
      </c>
      <c r="B28">
        <v>40000</v>
      </c>
      <c r="D28" s="32"/>
      <c r="E28" s="33"/>
      <c r="F28" s="33"/>
      <c r="G28" s="34"/>
      <c r="H28" s="15"/>
    </row>
    <row r="29" spans="1:8" ht="12.75">
      <c r="A29" t="s">
        <v>33</v>
      </c>
      <c r="B29">
        <v>30000</v>
      </c>
      <c r="D29" s="32"/>
      <c r="E29" s="33"/>
      <c r="F29" s="33"/>
      <c r="G29" s="34"/>
      <c r="H29" s="15"/>
    </row>
    <row r="30" spans="1:8" ht="12.75">
      <c r="A30" s="26" t="s">
        <v>34</v>
      </c>
      <c r="B30" s="26">
        <v>3000</v>
      </c>
      <c r="D30" s="32"/>
      <c r="E30" s="33"/>
      <c r="F30" s="33"/>
      <c r="G30" s="34"/>
      <c r="H30" s="15"/>
    </row>
    <row r="31" spans="1:8" ht="12.75">
      <c r="A31" s="26"/>
      <c r="B31" s="26"/>
      <c r="D31" s="32"/>
      <c r="E31" s="33"/>
      <c r="F31" s="33"/>
      <c r="G31" s="34"/>
      <c r="H31" s="15"/>
    </row>
    <row r="32" spans="1:8" ht="12.75">
      <c r="A32" s="1" t="s">
        <v>37</v>
      </c>
      <c r="B32" s="1">
        <f>SUM(B24:B30)</f>
        <v>398000</v>
      </c>
      <c r="D32" s="32"/>
      <c r="E32" s="33"/>
      <c r="F32" s="33"/>
      <c r="G32" s="34"/>
      <c r="H32" s="15"/>
    </row>
    <row r="33" spans="4:8" ht="12.75">
      <c r="D33" s="32"/>
      <c r="E33" s="33"/>
      <c r="F33" s="33"/>
      <c r="G33" s="34"/>
      <c r="H33" s="15"/>
    </row>
    <row r="34" spans="1:8" ht="12.75">
      <c r="A34" s="1" t="s">
        <v>130</v>
      </c>
      <c r="C34" t="s">
        <v>36</v>
      </c>
      <c r="D34" s="32"/>
      <c r="E34" s="33"/>
      <c r="F34" s="33"/>
      <c r="G34" s="34"/>
      <c r="H34" s="15"/>
    </row>
    <row r="35" spans="1:8" ht="12.75">
      <c r="A35" t="s">
        <v>89</v>
      </c>
      <c r="B35">
        <f>+C35*0.03</f>
        <v>3000</v>
      </c>
      <c r="C35">
        <v>100000</v>
      </c>
      <c r="D35" s="32"/>
      <c r="E35" s="33"/>
      <c r="F35" s="33"/>
      <c r="G35" s="34"/>
      <c r="H35" s="15"/>
    </row>
    <row r="36" spans="1:8" ht="12.75">
      <c r="A36" t="s">
        <v>90</v>
      </c>
      <c r="B36">
        <f>+C36*0.08</f>
        <v>2400</v>
      </c>
      <c r="C36">
        <v>30000</v>
      </c>
      <c r="D36" s="32"/>
      <c r="E36" s="33"/>
      <c r="F36" s="33"/>
      <c r="G36" s="34"/>
      <c r="H36" s="15"/>
    </row>
    <row r="37" spans="1:8" ht="12.75">
      <c r="A37" t="s">
        <v>91</v>
      </c>
      <c r="B37">
        <f>+C37*0.03</f>
        <v>2400</v>
      </c>
      <c r="C37">
        <v>80000</v>
      </c>
      <c r="D37" s="32"/>
      <c r="E37" s="33"/>
      <c r="F37" s="33"/>
      <c r="G37" s="34"/>
      <c r="H37" s="15"/>
    </row>
    <row r="38" spans="1:8" ht="12.75">
      <c r="A38" s="5" t="s">
        <v>35</v>
      </c>
      <c r="D38" s="32"/>
      <c r="E38" s="33"/>
      <c r="F38" s="33"/>
      <c r="G38" s="34"/>
      <c r="H38" s="15"/>
    </row>
    <row r="39" spans="1:8" ht="12.75">
      <c r="A39" t="s">
        <v>92</v>
      </c>
      <c r="B39">
        <f>+C39*0.05</f>
        <v>15000</v>
      </c>
      <c r="C39">
        <v>300000</v>
      </c>
      <c r="D39" s="32"/>
      <c r="E39" s="33"/>
      <c r="F39" s="33"/>
      <c r="G39" s="34"/>
      <c r="H39" s="15"/>
    </row>
    <row r="40" spans="1:8" ht="12.75">
      <c r="A40" t="s">
        <v>93</v>
      </c>
      <c r="B40">
        <f>+C40*0.05</f>
        <v>5000</v>
      </c>
      <c r="C40">
        <v>100000</v>
      </c>
      <c r="D40" s="32"/>
      <c r="E40" s="33"/>
      <c r="F40" s="33"/>
      <c r="G40" s="34"/>
      <c r="H40" s="15"/>
    </row>
    <row r="41" spans="1:8" ht="12.75">
      <c r="A41" s="1" t="s">
        <v>37</v>
      </c>
      <c r="B41" s="1">
        <f>SUM(B35:B40)</f>
        <v>27800</v>
      </c>
      <c r="C41" s="1">
        <f>SUM(C34:C40)</f>
        <v>610000</v>
      </c>
      <c r="D41" s="35"/>
      <c r="E41" s="36"/>
      <c r="F41" s="36"/>
      <c r="G41" s="37"/>
      <c r="H41" s="15"/>
    </row>
    <row r="42" spans="4:8" ht="12.75">
      <c r="D42" s="15"/>
      <c r="E42" s="15"/>
      <c r="F42" s="15"/>
      <c r="G42" s="15"/>
      <c r="H42" s="15"/>
    </row>
    <row r="43" spans="1:8" ht="12.75">
      <c r="A43" t="s">
        <v>26</v>
      </c>
      <c r="B43">
        <f>+B41+B32</f>
        <v>425800</v>
      </c>
      <c r="D43" s="15"/>
      <c r="E43" s="15"/>
      <c r="F43" s="15"/>
      <c r="G43" s="15"/>
      <c r="H43" s="15"/>
    </row>
    <row r="44" spans="1:2" ht="12.75">
      <c r="A44" t="s">
        <v>39</v>
      </c>
      <c r="B44" s="16">
        <f>+B7-E20</f>
        <v>0.21059596792880125</v>
      </c>
    </row>
    <row r="45" spans="1:3" ht="12.75">
      <c r="A45" t="s">
        <v>41</v>
      </c>
      <c r="B45" s="2">
        <f>+B43/B44</f>
        <v>2021881.0653770703</v>
      </c>
      <c r="C45" t="s">
        <v>54</v>
      </c>
    </row>
    <row r="46" spans="1:2" ht="12.75">
      <c r="A46" t="s">
        <v>94</v>
      </c>
      <c r="B46" s="2">
        <f>+B45/25</f>
        <v>80875.24261508281</v>
      </c>
    </row>
    <row r="47" spans="1:2" ht="12.75">
      <c r="A47" t="s">
        <v>95</v>
      </c>
      <c r="B47" s="2">
        <f>+B46/9</f>
        <v>8986.138068342534</v>
      </c>
    </row>
    <row r="49" spans="1:2" ht="12.75">
      <c r="A49" t="s">
        <v>42</v>
      </c>
      <c r="B49">
        <f>+B45*8.5</f>
        <v>17185989.055705097</v>
      </c>
    </row>
    <row r="50" spans="1:2" ht="12.75">
      <c r="A50" t="s">
        <v>40</v>
      </c>
      <c r="B50">
        <f>+B49/1000</f>
        <v>17185.989055705097</v>
      </c>
    </row>
    <row r="51" spans="1:2" ht="12.75">
      <c r="A51" t="s">
        <v>43</v>
      </c>
      <c r="B51" s="7">
        <f>+B50/E59</f>
        <v>0.0502514299874418</v>
      </c>
    </row>
    <row r="53" spans="1:2" ht="12.75">
      <c r="A53" t="s">
        <v>53</v>
      </c>
      <c r="B53">
        <f>(1000*B7)/8.5</f>
        <v>39.6</v>
      </c>
    </row>
    <row r="54" spans="1:2" ht="12.75">
      <c r="A54" t="s">
        <v>57</v>
      </c>
      <c r="B54">
        <f>+(1000*E20)/8.5</f>
        <v>14.824003773082206</v>
      </c>
    </row>
    <row r="55" spans="1:2" ht="12.75">
      <c r="A55" t="s">
        <v>58</v>
      </c>
      <c r="B55">
        <f>+B53-B54</f>
        <v>24.775996226917798</v>
      </c>
    </row>
    <row r="56" spans="1:2" ht="12.75">
      <c r="A56" t="s">
        <v>50</v>
      </c>
      <c r="B56">
        <f>+B7*B45</f>
        <v>680565.1666059219</v>
      </c>
    </row>
    <row r="59" spans="1:5" ht="12.75">
      <c r="A59" s="1" t="s">
        <v>6</v>
      </c>
      <c r="D59" t="s">
        <v>13</v>
      </c>
      <c r="E59" s="2">
        <v>342000</v>
      </c>
    </row>
    <row r="60" spans="1:3" ht="12.75">
      <c r="A60" s="1"/>
      <c r="B60" t="s">
        <v>11</v>
      </c>
      <c r="C60" t="s">
        <v>12</v>
      </c>
    </row>
    <row r="61" spans="1:3" ht="12.75">
      <c r="A61" t="s">
        <v>7</v>
      </c>
      <c r="B61">
        <v>52000</v>
      </c>
      <c r="C61" s="6">
        <f>+B61/$E$59</f>
        <v>0.15204678362573099</v>
      </c>
    </row>
    <row r="62" spans="1:3" ht="12.75">
      <c r="A62" t="s">
        <v>8</v>
      </c>
      <c r="B62">
        <v>40000</v>
      </c>
      <c r="C62" s="6">
        <f>+B62/$E$59</f>
        <v>0.11695906432748537</v>
      </c>
    </row>
    <row r="63" spans="1:3" ht="12.75">
      <c r="A63" t="s">
        <v>9</v>
      </c>
      <c r="B63">
        <v>150000</v>
      </c>
      <c r="C63" s="6">
        <f>+B63/$E$59</f>
        <v>0.43859649122807015</v>
      </c>
    </row>
    <row r="64" spans="1:3" ht="12.75">
      <c r="A64" t="s">
        <v>10</v>
      </c>
      <c r="B64">
        <v>100000</v>
      </c>
      <c r="C64" s="6">
        <f>+B64/$E$59</f>
        <v>0.29239766081871343</v>
      </c>
    </row>
    <row r="65" spans="1:3" ht="12.75">
      <c r="A65" s="1" t="s">
        <v>37</v>
      </c>
      <c r="B65" s="1">
        <f>SUM(B61:B64)</f>
        <v>342000</v>
      </c>
      <c r="C65" s="9">
        <f>SUM(C61:C64)</f>
        <v>0.9999999999999999</v>
      </c>
    </row>
    <row r="66" ht="12.75">
      <c r="C66" s="8"/>
    </row>
    <row r="67" spans="1:3" ht="12.75">
      <c r="A67" s="26" t="s">
        <v>128</v>
      </c>
      <c r="B67" s="26"/>
      <c r="C67" s="26"/>
    </row>
    <row r="68" spans="1:3" ht="12.75">
      <c r="A68" s="26"/>
      <c r="B68" s="26"/>
      <c r="C68" s="26"/>
    </row>
    <row r="69" spans="1:3" ht="12.75">
      <c r="A69" s="26"/>
      <c r="B69" s="26"/>
      <c r="C69" s="26"/>
    </row>
    <row r="70" spans="1:3" ht="12.75">
      <c r="A70" s="26"/>
      <c r="B70" s="26"/>
      <c r="C70" s="26"/>
    </row>
    <row r="74" spans="1:7" ht="12.75">
      <c r="A74" s="1" t="s">
        <v>52</v>
      </c>
      <c r="B74" s="1" t="s">
        <v>55</v>
      </c>
      <c r="C74" s="1" t="s">
        <v>26</v>
      </c>
      <c r="D74" s="1" t="s">
        <v>56</v>
      </c>
      <c r="E74" s="1" t="s">
        <v>60</v>
      </c>
      <c r="F74" s="1" t="s">
        <v>59</v>
      </c>
      <c r="G74" s="1" t="s">
        <v>48</v>
      </c>
    </row>
    <row r="75" spans="1:7" ht="12.75">
      <c r="A75" s="2">
        <v>1000</v>
      </c>
      <c r="B75">
        <f>+$B$54*A75</f>
        <v>14824.003773082206</v>
      </c>
      <c r="C75">
        <f>+$B$43</f>
        <v>425800</v>
      </c>
      <c r="D75">
        <f>+C75+B75</f>
        <v>440624.0037730822</v>
      </c>
      <c r="E75">
        <f>+$B$53*A75</f>
        <v>39600</v>
      </c>
      <c r="F75">
        <f>+E75-D75</f>
        <v>-401024.0037730822</v>
      </c>
      <c r="G75">
        <f aca="true" t="shared" si="2" ref="G75:G83">+A75*39.6</f>
        <v>39600</v>
      </c>
    </row>
    <row r="76" spans="1:7" ht="12.75">
      <c r="A76" s="2">
        <f>+A75+2000</f>
        <v>3000</v>
      </c>
      <c r="B76">
        <f aca="true" t="shared" si="3" ref="B76:B83">+$B$54*A76</f>
        <v>44472.011319246616</v>
      </c>
      <c r="C76">
        <f aca="true" t="shared" si="4" ref="C76:C83">+$B$43</f>
        <v>425800</v>
      </c>
      <c r="D76">
        <f aca="true" t="shared" si="5" ref="D76:D83">+C76+B76</f>
        <v>470272.0113192466</v>
      </c>
      <c r="E76">
        <f aca="true" t="shared" si="6" ref="E76:E83">+$B$53*A76</f>
        <v>118800</v>
      </c>
      <c r="F76">
        <f aca="true" t="shared" si="7" ref="F76:F83">+E76-D76</f>
        <v>-351472.0113192466</v>
      </c>
      <c r="G76">
        <f t="shared" si="2"/>
        <v>118800</v>
      </c>
    </row>
    <row r="77" spans="1:7" ht="12.75">
      <c r="A77" s="2">
        <f>11000</f>
        <v>11000</v>
      </c>
      <c r="B77">
        <f t="shared" si="3"/>
        <v>163064.04150390427</v>
      </c>
      <c r="C77">
        <f t="shared" si="4"/>
        <v>425800</v>
      </c>
      <c r="D77">
        <f t="shared" si="5"/>
        <v>588864.0415039043</v>
      </c>
      <c r="E77">
        <f t="shared" si="6"/>
        <v>435600</v>
      </c>
      <c r="F77">
        <f t="shared" si="7"/>
        <v>-153264.04150390427</v>
      </c>
      <c r="G77">
        <f t="shared" si="2"/>
        <v>435600</v>
      </c>
    </row>
    <row r="78" spans="1:7" ht="12.75">
      <c r="A78" s="2">
        <f>+A77+2000</f>
        <v>13000</v>
      </c>
      <c r="B78">
        <f t="shared" si="3"/>
        <v>192712.0490500687</v>
      </c>
      <c r="C78">
        <f t="shared" si="4"/>
        <v>425800</v>
      </c>
      <c r="D78">
        <f t="shared" si="5"/>
        <v>618512.0490500687</v>
      </c>
      <c r="E78">
        <f t="shared" si="6"/>
        <v>514800</v>
      </c>
      <c r="F78">
        <f t="shared" si="7"/>
        <v>-103712.04905006872</v>
      </c>
      <c r="G78">
        <f t="shared" si="2"/>
        <v>514800</v>
      </c>
    </row>
    <row r="79" spans="1:7" ht="12.75">
      <c r="A79" s="2">
        <f>+A78+2000</f>
        <v>15000</v>
      </c>
      <c r="B79">
        <f>+$B$54*A79</f>
        <v>222360.05659623307</v>
      </c>
      <c r="C79">
        <f t="shared" si="4"/>
        <v>425800</v>
      </c>
      <c r="D79">
        <f>+C79+B79</f>
        <v>648160.056596233</v>
      </c>
      <c r="E79">
        <f>+$B$53*A79</f>
        <v>594000</v>
      </c>
      <c r="F79">
        <f>+E79-D79</f>
        <v>-54160.056596233044</v>
      </c>
      <c r="G79">
        <f t="shared" si="2"/>
        <v>594000</v>
      </c>
    </row>
    <row r="80" spans="1:7" ht="12.75">
      <c r="A80" s="2">
        <f>+A79+2000</f>
        <v>17000</v>
      </c>
      <c r="B80">
        <f>+$B$54*A80</f>
        <v>252008.0641423975</v>
      </c>
      <c r="C80">
        <f t="shared" si="4"/>
        <v>425800</v>
      </c>
      <c r="D80">
        <f>+C80+B80</f>
        <v>677808.0641423975</v>
      </c>
      <c r="E80">
        <f>+$B$53*A80</f>
        <v>673200</v>
      </c>
      <c r="F80">
        <f>+E80-D80</f>
        <v>-4608.0641423974885</v>
      </c>
      <c r="G80">
        <f>+A80*39.6</f>
        <v>673200</v>
      </c>
    </row>
    <row r="81" spans="1:7" ht="12.75">
      <c r="A81" s="19">
        <f>+B50</f>
        <v>17185.989055705097</v>
      </c>
      <c r="B81" s="10">
        <f>+$B$54*A81</f>
        <v>254765.16660592184</v>
      </c>
      <c r="C81" s="10">
        <f t="shared" si="4"/>
        <v>425800</v>
      </c>
      <c r="D81" s="10">
        <f>+C81+B81</f>
        <v>680565.1666059218</v>
      </c>
      <c r="E81" s="10">
        <f>+$B$53*A81</f>
        <v>680565.1666059218</v>
      </c>
      <c r="F81" s="10">
        <f>+E81-D81</f>
        <v>0</v>
      </c>
      <c r="G81" s="10">
        <f>+A81*39.6</f>
        <v>680565.1666059218</v>
      </c>
    </row>
    <row r="82" spans="1:7" ht="12.75">
      <c r="A82" s="2">
        <f>+A80+2000</f>
        <v>19000</v>
      </c>
      <c r="B82">
        <f t="shared" si="3"/>
        <v>281656.07168856193</v>
      </c>
      <c r="C82">
        <f t="shared" si="4"/>
        <v>425800</v>
      </c>
      <c r="D82">
        <f t="shared" si="5"/>
        <v>707456.0716885619</v>
      </c>
      <c r="E82">
        <f t="shared" si="6"/>
        <v>752400</v>
      </c>
      <c r="F82">
        <f t="shared" si="7"/>
        <v>44943.92831143807</v>
      </c>
      <c r="G82">
        <f t="shared" si="2"/>
        <v>752400</v>
      </c>
    </row>
    <row r="83" spans="1:7" ht="12.75">
      <c r="A83" s="2">
        <v>20000</v>
      </c>
      <c r="B83">
        <f t="shared" si="3"/>
        <v>296480.0754616441</v>
      </c>
      <c r="C83">
        <f t="shared" si="4"/>
        <v>425800</v>
      </c>
      <c r="D83">
        <f t="shared" si="5"/>
        <v>722280.0754616441</v>
      </c>
      <c r="E83">
        <f t="shared" si="6"/>
        <v>792000</v>
      </c>
      <c r="F83">
        <f t="shared" si="7"/>
        <v>69719.9245383559</v>
      </c>
      <c r="G83">
        <f t="shared" si="2"/>
        <v>792000</v>
      </c>
    </row>
    <row r="109" spans="1:6" ht="12.75">
      <c r="A109" s="1" t="s">
        <v>52</v>
      </c>
      <c r="B109" s="1" t="s">
        <v>55</v>
      </c>
      <c r="C109" s="1" t="s">
        <v>26</v>
      </c>
      <c r="D109" s="1" t="s">
        <v>56</v>
      </c>
      <c r="E109" s="1" t="s">
        <v>59</v>
      </c>
      <c r="F109" t="s">
        <v>60</v>
      </c>
    </row>
    <row r="110" spans="1:6" ht="12.75">
      <c r="A110" s="2">
        <v>1000</v>
      </c>
      <c r="B110">
        <v>14824.003773082206</v>
      </c>
      <c r="C110">
        <v>425800</v>
      </c>
      <c r="D110">
        <v>440624.0037730822</v>
      </c>
      <c r="E110">
        <v>-401024.0037730822</v>
      </c>
      <c r="F110">
        <v>39600</v>
      </c>
    </row>
    <row r="111" spans="1:6" ht="12.75">
      <c r="A111" s="2">
        <v>3000</v>
      </c>
      <c r="B111">
        <v>44472.011319246616</v>
      </c>
      <c r="C111">
        <v>425800</v>
      </c>
      <c r="D111">
        <v>470272.0113192466</v>
      </c>
      <c r="E111">
        <v>-351472.0113192466</v>
      </c>
      <c r="F111">
        <v>118800</v>
      </c>
    </row>
    <row r="112" spans="1:6" ht="12.75">
      <c r="A112" s="2">
        <v>11000</v>
      </c>
      <c r="B112">
        <v>163064.04150390427</v>
      </c>
      <c r="C112">
        <v>425800</v>
      </c>
      <c r="D112">
        <v>588864.0415039043</v>
      </c>
      <c r="E112">
        <v>-153264.04150390427</v>
      </c>
      <c r="F112">
        <v>435600</v>
      </c>
    </row>
    <row r="113" spans="1:6" ht="12.75">
      <c r="A113" s="2">
        <v>13000</v>
      </c>
      <c r="B113">
        <v>192712.0490500687</v>
      </c>
      <c r="C113">
        <v>425800</v>
      </c>
      <c r="D113">
        <v>618512.0490500687</v>
      </c>
      <c r="E113">
        <v>-103712.04905006872</v>
      </c>
      <c r="F113">
        <v>514800</v>
      </c>
    </row>
    <row r="114" spans="1:6" ht="12.75">
      <c r="A114" s="2">
        <v>15000</v>
      </c>
      <c r="B114">
        <v>222360.05659623307</v>
      </c>
      <c r="C114">
        <v>425800</v>
      </c>
      <c r="D114">
        <v>648160.056596233</v>
      </c>
      <c r="E114">
        <v>-54160.056596233044</v>
      </c>
      <c r="F114">
        <v>594000</v>
      </c>
    </row>
    <row r="115" spans="1:6" ht="12.75">
      <c r="A115" s="2">
        <v>17000</v>
      </c>
      <c r="B115">
        <v>252008.0641423975</v>
      </c>
      <c r="C115">
        <v>425800</v>
      </c>
      <c r="D115">
        <v>677808.0641423975</v>
      </c>
      <c r="E115">
        <v>-4608.0641423974885</v>
      </c>
      <c r="F115">
        <v>673200</v>
      </c>
    </row>
    <row r="116" spans="1:6" ht="12.75">
      <c r="A116" s="19">
        <v>17185.989055705097</v>
      </c>
      <c r="B116" s="10">
        <v>254765.16660592184</v>
      </c>
      <c r="C116" s="10">
        <v>425800</v>
      </c>
      <c r="D116" s="10">
        <v>680565.1666059218</v>
      </c>
      <c r="E116" s="10">
        <v>0</v>
      </c>
      <c r="F116">
        <v>680565.1666059218</v>
      </c>
    </row>
    <row r="117" spans="1:6" ht="12.75">
      <c r="A117" s="2">
        <v>19000</v>
      </c>
      <c r="B117">
        <v>281656.07168856193</v>
      </c>
      <c r="C117">
        <v>425800</v>
      </c>
      <c r="D117">
        <v>707456.0716885619</v>
      </c>
      <c r="E117">
        <v>44943.92831143807</v>
      </c>
      <c r="F117">
        <v>752400</v>
      </c>
    </row>
    <row r="118" spans="1:6" ht="12.75">
      <c r="A118" s="2">
        <v>20000</v>
      </c>
      <c r="B118">
        <v>296480.0754616441</v>
      </c>
      <c r="C118">
        <v>425800</v>
      </c>
      <c r="D118">
        <v>722280.0754616441</v>
      </c>
      <c r="E118">
        <v>69719.9245383559</v>
      </c>
      <c r="F118">
        <v>792000</v>
      </c>
    </row>
  </sheetData>
  <mergeCells count="4">
    <mergeCell ref="A67:C70"/>
    <mergeCell ref="A30:A31"/>
    <mergeCell ref="B30:B31"/>
    <mergeCell ref="D23:G41"/>
  </mergeCells>
  <printOptions/>
  <pageMargins left="0.75" right="0.75" top="1" bottom="1" header="0.5" footer="0.5"/>
  <pageSetup horizontalDpi="300" verticalDpi="300" orientation="portrait" paperSize="9" scale="70" r:id="rId4"/>
  <rowBreaks count="1" manualBreakCount="1">
    <brk id="71" max="6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7"/>
  <sheetViews>
    <sheetView view="pageBreakPreview" zoomScale="60" workbookViewId="0" topLeftCell="A56">
      <selection activeCell="A1" sqref="A1:G78"/>
    </sheetView>
  </sheetViews>
  <sheetFormatPr defaultColWidth="9.140625" defaultRowHeight="12.75"/>
  <cols>
    <col min="1" max="1" width="41.7109375" style="0" customWidth="1"/>
    <col min="2" max="2" width="15.7109375" style="0" customWidth="1"/>
    <col min="3" max="3" width="15.57421875" style="0" bestFit="1" customWidth="1"/>
    <col min="4" max="4" width="12.140625" style="0" customWidth="1"/>
    <col min="5" max="5" width="12.00390625" style="0" customWidth="1"/>
    <col min="6" max="7" width="10.7109375" style="0" bestFit="1" customWidth="1"/>
  </cols>
  <sheetData>
    <row r="1" ht="12.75">
      <c r="A1" s="1" t="s">
        <v>61</v>
      </c>
    </row>
    <row r="3" spans="1:2" ht="12.75">
      <c r="A3" s="11" t="s">
        <v>1</v>
      </c>
      <c r="B3" s="12"/>
    </row>
    <row r="4" spans="1:2" ht="12.75">
      <c r="A4" s="12" t="s">
        <v>62</v>
      </c>
      <c r="B4" s="12">
        <v>10.5</v>
      </c>
    </row>
    <row r="6" ht="12.75">
      <c r="A6" s="1" t="s">
        <v>14</v>
      </c>
    </row>
    <row r="7" spans="1:5" ht="12.75">
      <c r="A7" s="5" t="s">
        <v>15</v>
      </c>
      <c r="B7" t="s">
        <v>25</v>
      </c>
      <c r="C7" t="s">
        <v>85</v>
      </c>
      <c r="D7" t="s">
        <v>71</v>
      </c>
      <c r="E7" t="s">
        <v>17</v>
      </c>
    </row>
    <row r="8" spans="1:5" ht="12.75">
      <c r="A8" t="s">
        <v>16</v>
      </c>
      <c r="B8">
        <v>5.5</v>
      </c>
      <c r="C8" s="3">
        <f aca="true" t="shared" si="0" ref="C8:C15">+B8/1000</f>
        <v>0.0055</v>
      </c>
      <c r="D8">
        <v>2.25</v>
      </c>
      <c r="E8" s="3">
        <f aca="true" t="shared" si="1" ref="E8:E15">+C8*D8</f>
        <v>0.012374999999999999</v>
      </c>
    </row>
    <row r="9" spans="1:5" ht="12.75">
      <c r="A9" t="s">
        <v>19</v>
      </c>
      <c r="B9">
        <v>150</v>
      </c>
      <c r="C9" s="3">
        <f t="shared" si="0"/>
        <v>0.15</v>
      </c>
      <c r="D9">
        <v>0.1</v>
      </c>
      <c r="E9" s="3">
        <f t="shared" si="1"/>
        <v>0.015</v>
      </c>
    </row>
    <row r="10" spans="1:5" ht="12.75">
      <c r="A10" t="s">
        <v>22</v>
      </c>
      <c r="B10">
        <f>2.5*5</f>
        <v>12.5</v>
      </c>
      <c r="C10" s="3">
        <f t="shared" si="0"/>
        <v>0.0125</v>
      </c>
      <c r="D10">
        <v>2.35</v>
      </c>
      <c r="E10" s="3">
        <f t="shared" si="1"/>
        <v>0.029375000000000002</v>
      </c>
    </row>
    <row r="11" spans="1:5" ht="12.75">
      <c r="A11" t="s">
        <v>21</v>
      </c>
      <c r="B11">
        <f>1760/1936.27</f>
        <v>0.9089641423974962</v>
      </c>
      <c r="C11" s="3">
        <f t="shared" si="0"/>
        <v>0.0009089641423974962</v>
      </c>
      <c r="D11">
        <v>0.3</v>
      </c>
      <c r="E11" s="3">
        <f t="shared" si="1"/>
        <v>0.00027268924271924884</v>
      </c>
    </row>
    <row r="12" spans="1:5" ht="12.75">
      <c r="A12" t="s">
        <v>24</v>
      </c>
      <c r="B12">
        <v>0.341</v>
      </c>
      <c r="C12" s="3">
        <f t="shared" si="0"/>
        <v>0.00034100000000000005</v>
      </c>
      <c r="D12">
        <v>2.35</v>
      </c>
      <c r="E12" s="3">
        <f t="shared" si="1"/>
        <v>0.0008013500000000002</v>
      </c>
    </row>
    <row r="13" spans="1:5" ht="12.75">
      <c r="A13" t="s">
        <v>20</v>
      </c>
      <c r="B13">
        <v>1</v>
      </c>
      <c r="C13" s="3">
        <f t="shared" si="0"/>
        <v>0.001</v>
      </c>
      <c r="D13">
        <v>0.1</v>
      </c>
      <c r="E13" s="3">
        <f t="shared" si="1"/>
        <v>0.0001</v>
      </c>
    </row>
    <row r="14" spans="1:5" ht="12.75">
      <c r="A14" t="s">
        <v>63</v>
      </c>
      <c r="B14">
        <v>11.36</v>
      </c>
      <c r="C14" s="3">
        <f t="shared" si="0"/>
        <v>0.011359999999999999</v>
      </c>
      <c r="D14">
        <v>3</v>
      </c>
      <c r="E14" s="3">
        <f t="shared" si="1"/>
        <v>0.03408</v>
      </c>
    </row>
    <row r="15" spans="1:5" ht="12.75">
      <c r="A15" t="s">
        <v>18</v>
      </c>
      <c r="B15">
        <v>2</v>
      </c>
      <c r="C15" s="3">
        <f t="shared" si="0"/>
        <v>0.002</v>
      </c>
      <c r="D15">
        <v>0.05</v>
      </c>
      <c r="E15" s="3">
        <f t="shared" si="1"/>
        <v>0.0001</v>
      </c>
    </row>
    <row r="16" spans="1:5" ht="12.75">
      <c r="A16" t="s">
        <v>49</v>
      </c>
      <c r="B16">
        <v>1.5</v>
      </c>
      <c r="C16" s="3"/>
      <c r="E16" s="3">
        <f>+B16/25</f>
        <v>0.06</v>
      </c>
    </row>
    <row r="17" spans="1:5" ht="12.75">
      <c r="A17" s="1" t="s">
        <v>38</v>
      </c>
      <c r="B17">
        <f>SUM(B8:B16)</f>
        <v>185.10996414239753</v>
      </c>
      <c r="C17">
        <f>SUM(C8:C16)</f>
        <v>0.18360996414239752</v>
      </c>
      <c r="D17">
        <f>SUM(D8:D15)</f>
        <v>10.5</v>
      </c>
      <c r="E17" s="1">
        <f>SUM(E8:E16)</f>
        <v>0.15210403924271926</v>
      </c>
    </row>
    <row r="18" spans="1:5" ht="12.75">
      <c r="A18" s="1"/>
      <c r="E18" s="1"/>
    </row>
    <row r="20" spans="1:2" ht="12.75">
      <c r="A20" s="1" t="s">
        <v>51</v>
      </c>
      <c r="B20" t="s">
        <v>30</v>
      </c>
    </row>
    <row r="21" ht="12.75">
      <c r="A21" s="1" t="s">
        <v>64</v>
      </c>
    </row>
    <row r="22" spans="1:2" ht="12.75" customHeight="1">
      <c r="A22" s="13" t="s">
        <v>98</v>
      </c>
      <c r="B22">
        <v>25000</v>
      </c>
    </row>
    <row r="23" spans="1:2" ht="12.75" customHeight="1">
      <c r="A23" s="25" t="s">
        <v>68</v>
      </c>
      <c r="B23">
        <f>+B22/5</f>
        <v>5000</v>
      </c>
    </row>
    <row r="24" spans="1:2" ht="12.75">
      <c r="A24" s="13" t="s">
        <v>65</v>
      </c>
      <c r="B24">
        <v>50000</v>
      </c>
    </row>
    <row r="25" spans="1:2" ht="12.75">
      <c r="A25" s="25" t="s">
        <v>68</v>
      </c>
      <c r="B25">
        <f>+B24/5</f>
        <v>10000</v>
      </c>
    </row>
    <row r="26" spans="1:2" ht="12.75">
      <c r="A26" s="13" t="s">
        <v>133</v>
      </c>
      <c r="B26">
        <v>150000</v>
      </c>
    </row>
    <row r="27" ht="12.75">
      <c r="A27" s="1" t="s">
        <v>66</v>
      </c>
    </row>
    <row r="28" spans="1:2" ht="12.75">
      <c r="A28" s="5" t="s">
        <v>67</v>
      </c>
      <c r="B28" s="5">
        <v>500000</v>
      </c>
    </row>
    <row r="29" spans="1:2" ht="12.75">
      <c r="A29" s="5" t="s">
        <v>68</v>
      </c>
      <c r="B29" s="5">
        <v>0.03</v>
      </c>
    </row>
    <row r="30" spans="1:2" ht="12.75">
      <c r="A30" s="13" t="s">
        <v>69</v>
      </c>
      <c r="B30">
        <f>+B29*B28</f>
        <v>15000</v>
      </c>
    </row>
    <row r="31" spans="1:2" ht="12.75">
      <c r="A31" s="38" t="s">
        <v>70</v>
      </c>
      <c r="B31" s="39">
        <v>100000</v>
      </c>
    </row>
    <row r="32" spans="1:2" ht="12.75">
      <c r="A32" s="38"/>
      <c r="B32" s="39"/>
    </row>
    <row r="33" spans="1:2" ht="12.75">
      <c r="A33" s="5" t="s">
        <v>68</v>
      </c>
      <c r="B33" s="5">
        <v>0.03</v>
      </c>
    </row>
    <row r="34" spans="1:2" ht="12.75">
      <c r="A34" s="13" t="s">
        <v>69</v>
      </c>
      <c r="B34">
        <f>+B33*B31</f>
        <v>3000</v>
      </c>
    </row>
    <row r="35" spans="1:2" ht="12.75">
      <c r="A35" s="13" t="s">
        <v>72</v>
      </c>
      <c r="B35">
        <f>3000*14</f>
        <v>42000</v>
      </c>
    </row>
    <row r="36" spans="1:2" ht="12.75">
      <c r="A36" s="13" t="s">
        <v>88</v>
      </c>
      <c r="B36">
        <v>8000</v>
      </c>
    </row>
    <row r="37" ht="12.75">
      <c r="A37" s="13"/>
    </row>
    <row r="38" ht="12.75">
      <c r="A38" s="5" t="s">
        <v>73</v>
      </c>
    </row>
    <row r="39" spans="1:2" ht="12.75">
      <c r="A39" t="s">
        <v>29</v>
      </c>
      <c r="B39">
        <v>20000</v>
      </c>
    </row>
    <row r="40" spans="1:2" ht="12.75">
      <c r="A40" t="s">
        <v>74</v>
      </c>
      <c r="B40">
        <v>10000</v>
      </c>
    </row>
    <row r="41" spans="1:2" ht="12.75">
      <c r="A41" s="1" t="s">
        <v>37</v>
      </c>
      <c r="B41" s="1">
        <f>+B40+B39+B35+B34+B30+B26+B23+B25+B36</f>
        <v>263000</v>
      </c>
    </row>
    <row r="43" spans="1:7" ht="12.75">
      <c r="A43" s="11" t="s">
        <v>44</v>
      </c>
      <c r="B43" s="12"/>
      <c r="C43" s="12" t="s">
        <v>36</v>
      </c>
      <c r="D43" s="29" t="s">
        <v>132</v>
      </c>
      <c r="E43" s="30"/>
      <c r="F43" s="30"/>
      <c r="G43" s="31"/>
    </row>
    <row r="44" spans="1:7" ht="12.75">
      <c r="A44" s="12" t="s">
        <v>45</v>
      </c>
      <c r="B44" s="12">
        <f>+C44*0.03</f>
        <v>3000</v>
      </c>
      <c r="C44" s="12">
        <v>100000</v>
      </c>
      <c r="D44" s="32"/>
      <c r="E44" s="33"/>
      <c r="F44" s="33"/>
      <c r="G44" s="34"/>
    </row>
    <row r="45" spans="1:7" ht="12.75">
      <c r="A45" s="12" t="s">
        <v>46</v>
      </c>
      <c r="B45" s="12">
        <f>+C45*0.08</f>
        <v>2400</v>
      </c>
      <c r="C45" s="12">
        <v>30000</v>
      </c>
      <c r="D45" s="32"/>
      <c r="E45" s="33"/>
      <c r="F45" s="33"/>
      <c r="G45" s="34"/>
    </row>
    <row r="46" spans="1:7" ht="12.75">
      <c r="A46" s="12" t="s">
        <v>47</v>
      </c>
      <c r="B46" s="12">
        <f>+C46*0.03</f>
        <v>2400</v>
      </c>
      <c r="C46" s="12">
        <v>80000</v>
      </c>
      <c r="D46" s="32"/>
      <c r="E46" s="33"/>
      <c r="F46" s="33"/>
      <c r="G46" s="34"/>
    </row>
    <row r="47" spans="1:7" ht="12.75">
      <c r="A47" s="18" t="s">
        <v>35</v>
      </c>
      <c r="B47" s="12"/>
      <c r="C47" s="12"/>
      <c r="D47" s="32"/>
      <c r="E47" s="33"/>
      <c r="F47" s="33"/>
      <c r="G47" s="34"/>
    </row>
    <row r="48" spans="1:7" ht="12.75">
      <c r="A48" s="12" t="s">
        <v>75</v>
      </c>
      <c r="B48" s="12">
        <f>+C48*0.02</f>
        <v>6000</v>
      </c>
      <c r="C48" s="12">
        <v>300000</v>
      </c>
      <c r="D48" s="32"/>
      <c r="E48" s="33"/>
      <c r="F48" s="33"/>
      <c r="G48" s="34"/>
    </row>
    <row r="49" spans="1:7" ht="12.75">
      <c r="A49" s="12" t="s">
        <v>76</v>
      </c>
      <c r="B49" s="12">
        <f>+C49*0.03</f>
        <v>3000</v>
      </c>
      <c r="C49" s="12">
        <v>100000</v>
      </c>
      <c r="D49" s="32"/>
      <c r="E49" s="33"/>
      <c r="F49" s="33"/>
      <c r="G49" s="34"/>
    </row>
    <row r="50" spans="1:7" ht="12.75">
      <c r="A50" s="12" t="s">
        <v>77</v>
      </c>
      <c r="B50" s="12">
        <f>0.03*C50</f>
        <v>1500</v>
      </c>
      <c r="C50" s="12">
        <v>50000</v>
      </c>
      <c r="D50" s="32"/>
      <c r="E50" s="33"/>
      <c r="F50" s="33"/>
      <c r="G50" s="34"/>
    </row>
    <row r="51" spans="1:7" ht="12.75">
      <c r="A51" s="11" t="s">
        <v>37</v>
      </c>
      <c r="B51" s="11">
        <f>SUM(B43:B49)</f>
        <v>16800</v>
      </c>
      <c r="C51" s="11">
        <f>SUM(C43:C50)</f>
        <v>660000</v>
      </c>
      <c r="D51" s="32"/>
      <c r="E51" s="33"/>
      <c r="F51" s="33"/>
      <c r="G51" s="34"/>
    </row>
    <row r="52" spans="1:7" ht="12.75">
      <c r="A52" s="11"/>
      <c r="B52" s="11"/>
      <c r="C52" s="11"/>
      <c r="D52" s="32"/>
      <c r="E52" s="33"/>
      <c r="F52" s="33"/>
      <c r="G52" s="34"/>
    </row>
    <row r="53" spans="1:7" ht="12.75">
      <c r="A53" s="11" t="s">
        <v>135</v>
      </c>
      <c r="D53" s="32"/>
      <c r="E53" s="33"/>
      <c r="F53" s="33"/>
      <c r="G53" s="34"/>
    </row>
    <row r="54" spans="1:7" ht="12.75">
      <c r="A54" t="s">
        <v>97</v>
      </c>
      <c r="B54">
        <f>+B41</f>
        <v>263000</v>
      </c>
      <c r="D54" s="32"/>
      <c r="E54" s="33"/>
      <c r="F54" s="33"/>
      <c r="G54" s="34"/>
    </row>
    <row r="55" spans="1:7" ht="12.75">
      <c r="A55" t="s">
        <v>78</v>
      </c>
      <c r="B55">
        <f>+E17</f>
        <v>0.15210403924271926</v>
      </c>
      <c r="D55" s="32"/>
      <c r="E55" s="33"/>
      <c r="F55" s="33"/>
      <c r="G55" s="34"/>
    </row>
    <row r="56" spans="1:7" ht="12.75">
      <c r="A56" t="s">
        <v>79</v>
      </c>
      <c r="B56">
        <v>1000000</v>
      </c>
      <c r="D56" s="32"/>
      <c r="E56" s="33"/>
      <c r="F56" s="33"/>
      <c r="G56" s="34"/>
    </row>
    <row r="57" spans="1:7" ht="12.75">
      <c r="A57" t="s">
        <v>137</v>
      </c>
      <c r="B57">
        <f>+B54/B56</f>
        <v>0.263</v>
      </c>
      <c r="D57" s="32"/>
      <c r="E57" s="33"/>
      <c r="F57" s="33"/>
      <c r="G57" s="34"/>
    </row>
    <row r="58" spans="4:7" ht="12.75">
      <c r="D58" s="32"/>
      <c r="E58" s="33"/>
      <c r="F58" s="33"/>
      <c r="G58" s="34"/>
    </row>
    <row r="59" spans="1:7" ht="12.75">
      <c r="A59" t="s">
        <v>80</v>
      </c>
      <c r="B59">
        <f>+(B54/B56)+B55</f>
        <v>0.41510403924271927</v>
      </c>
      <c r="D59" s="32"/>
      <c r="E59" s="33"/>
      <c r="F59" s="33"/>
      <c r="G59" s="34"/>
    </row>
    <row r="60" spans="1:7" ht="12.75">
      <c r="A60" t="s">
        <v>82</v>
      </c>
      <c r="B60">
        <f>+B59/10.5</f>
        <v>0.03953371802311612</v>
      </c>
      <c r="D60" s="32"/>
      <c r="E60" s="33"/>
      <c r="F60" s="33"/>
      <c r="G60" s="34"/>
    </row>
    <row r="61" spans="1:7" ht="12.75">
      <c r="A61" t="s">
        <v>83</v>
      </c>
      <c r="B61">
        <f>+B60*1000</f>
        <v>39.53371802311612</v>
      </c>
      <c r="D61" s="35"/>
      <c r="E61" s="36"/>
      <c r="F61" s="36"/>
      <c r="G61" s="37"/>
    </row>
    <row r="63" spans="1:2" ht="12.75">
      <c r="A63" t="s">
        <v>81</v>
      </c>
      <c r="B63">
        <f>+B59*25</f>
        <v>10.377600981067982</v>
      </c>
    </row>
    <row r="64" ht="12.75">
      <c r="B64">
        <f>+B59*B70</f>
        <v>415104.03924271924</v>
      </c>
    </row>
    <row r="67" ht="12.75">
      <c r="A67" s="11" t="s">
        <v>134</v>
      </c>
    </row>
    <row r="68" spans="1:2" ht="12.75">
      <c r="A68" t="s">
        <v>96</v>
      </c>
      <c r="B68">
        <f>+B41+B51</f>
        <v>279800</v>
      </c>
    </row>
    <row r="69" spans="1:2" ht="12.75">
      <c r="A69" t="s">
        <v>78</v>
      </c>
      <c r="B69">
        <f>+E17</f>
        <v>0.15210403924271926</v>
      </c>
    </row>
    <row r="70" spans="1:2" ht="12.75">
      <c r="A70" t="s">
        <v>79</v>
      </c>
      <c r="B70">
        <v>1000000</v>
      </c>
    </row>
    <row r="71" spans="1:2" ht="12.75">
      <c r="A71" t="s">
        <v>136</v>
      </c>
      <c r="B71">
        <f>+B68/B70</f>
        <v>0.2798</v>
      </c>
    </row>
    <row r="73" spans="1:2" ht="12.75">
      <c r="A73" t="s">
        <v>80</v>
      </c>
      <c r="B73">
        <f>+(B68/B70)+B69</f>
        <v>0.43190403924271925</v>
      </c>
    </row>
    <row r="74" spans="1:2" ht="12.75">
      <c r="A74" t="s">
        <v>82</v>
      </c>
      <c r="B74">
        <f>+B73/10.5</f>
        <v>0.04113371802311612</v>
      </c>
    </row>
    <row r="75" spans="1:2" ht="12.75">
      <c r="A75" t="s">
        <v>83</v>
      </c>
      <c r="B75">
        <f>+B74*1000</f>
        <v>41.13371802311612</v>
      </c>
    </row>
    <row r="77" spans="1:2" ht="12.75">
      <c r="A77" t="s">
        <v>81</v>
      </c>
      <c r="B77">
        <f>+B73*25</f>
        <v>10.797600981067982</v>
      </c>
    </row>
  </sheetData>
  <mergeCells count="3">
    <mergeCell ref="A31:A32"/>
    <mergeCell ref="B31:B32"/>
    <mergeCell ref="D43:G61"/>
  </mergeCells>
  <printOptions/>
  <pageMargins left="0.75" right="0.75" top="1" bottom="1" header="0.5" footer="0.5"/>
  <pageSetup horizontalDpi="300" verticalDpi="3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2004-05-09T07:34:23Z</dcterms:created>
  <dcterms:modified xsi:type="dcterms:W3CDTF">2004-05-18T09:34:29Z</dcterms:modified>
  <cp:category/>
  <cp:version/>
  <cp:contentType/>
  <cp:contentStatus/>
</cp:coreProperties>
</file>